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<sst xmlns="http://schemas.openxmlformats.org/spreadsheetml/2006/main" count="123" uniqueCount="112">
  <si>
    <t xml:space="preserve">                                                      NAME:</t>
  </si>
  <si>
    <t>Electives</t>
  </si>
  <si>
    <t>Core</t>
  </si>
  <si>
    <t>Theory</t>
  </si>
  <si>
    <t>MBB theory</t>
  </si>
  <si>
    <t>Key to data tables</t>
  </si>
  <si>
    <t xml:space="preserve">                                                     HUID#</t>
  </si>
  <si>
    <t>CS20</t>
  </si>
  <si>
    <t>CS91R</t>
  </si>
  <si>
    <t>Column K: Technical electives. These include all “non-core” CS courses that count for concentration but not for breadth. Row 2 is CS20, which counts but only in honors programs.</t>
  </si>
  <si>
    <t xml:space="preserve">Use these abbreviations: CS, Math, Phys, ES, AM. Stat, Ec. Be sure to include the “r” in courses like CS91r </t>
  </si>
  <si>
    <t>CS105</t>
  </si>
  <si>
    <t>CS51</t>
  </si>
  <si>
    <t>CS124</t>
  </si>
  <si>
    <t>Column L: “Core” CS courses, which count for breadth. That is, this is all CS courses with penultimate digit 3..8. Row 2 is CS91r, which counts but only for joint programs.</t>
  </si>
  <si>
    <t>CS108</t>
  </si>
  <si>
    <t>CS61</t>
  </si>
  <si>
    <t>CS125</t>
  </si>
  <si>
    <t>STAT110</t>
  </si>
  <si>
    <t>Column M are the theory courses. These count for the tehory requirement.</t>
  </si>
  <si>
    <t>Which program? (Choose from menu)</t>
  </si>
  <si>
    <t>CS109</t>
  </si>
  <si>
    <t>CS134</t>
  </si>
  <si>
    <t>CS127</t>
  </si>
  <si>
    <t>CS121</t>
  </si>
  <si>
    <t>Column N are the courses that count for the theory requirement for MBB programs.</t>
  </si>
  <si>
    <t>STAT121</t>
  </si>
  <si>
    <t>As new courses appear, they need to be added to these columns, in rows 3..100. Be careful not to change row 2, which is special as noted above.</t>
  </si>
  <si>
    <t>Enter grade from menu to calculate your GPA</t>
  </si>
  <si>
    <t>Grade</t>
  </si>
  <si>
    <t>CS205</t>
  </si>
  <si>
    <t>CS136</t>
  </si>
  <si>
    <t>CS221</t>
  </si>
  <si>
    <t>Basic Math: Multivariable Calculus (choose from menu)</t>
  </si>
  <si>
    <t>CS207</t>
  </si>
  <si>
    <t>CS141</t>
  </si>
  <si>
    <t>CS222</t>
  </si>
  <si>
    <t>Basic Math: Linear Algebra (choose from menu)</t>
  </si>
  <si>
    <t>CS209R</t>
  </si>
  <si>
    <t>CS143</t>
  </si>
  <si>
    <t>CS223</t>
  </si>
  <si>
    <t>CS96</t>
  </si>
  <si>
    <t>CS144R</t>
  </si>
  <si>
    <t>CS224</t>
  </si>
  <si>
    <t>Basic software, first course (choose from menu)</t>
  </si>
  <si>
    <t>ES50</t>
  </si>
  <si>
    <t>CS146</t>
  </si>
  <si>
    <t>CS225</t>
  </si>
  <si>
    <t>Basic software, second course (choose from menu)</t>
  </si>
  <si>
    <t>CS148</t>
  </si>
  <si>
    <t>CS227R</t>
  </si>
  <si>
    <t>MATH154</t>
  </si>
  <si>
    <t>CS152</t>
  </si>
  <si>
    <t>CS228</t>
  </si>
  <si>
    <t>Theory, first course (choose from menu)</t>
  </si>
  <si>
    <t>AM120</t>
  </si>
  <si>
    <t>CS153</t>
  </si>
  <si>
    <t>CS229R</t>
  </si>
  <si>
    <t>Theory, second course</t>
  </si>
  <si>
    <t>AM121</t>
  </si>
  <si>
    <t>CS161</t>
  </si>
  <si>
    <t>AM106</t>
  </si>
  <si>
    <t>CS164</t>
  </si>
  <si>
    <t>AM107</t>
  </si>
  <si>
    <t>Breadth, first course</t>
  </si>
  <si>
    <t>CS91</t>
  </si>
  <si>
    <t>CS165</t>
  </si>
  <si>
    <t>Breadth, second course</t>
  </si>
  <si>
    <t>CS171</t>
  </si>
  <si>
    <t>ES52</t>
  </si>
  <si>
    <t>CS175</t>
  </si>
  <si>
    <t>CS179</t>
  </si>
  <si>
    <t>CS181</t>
  </si>
  <si>
    <t>CS182</t>
  </si>
  <si>
    <t>CS187</t>
  </si>
  <si>
    <t>CS189</t>
  </si>
  <si>
    <t>Student comments:</t>
  </si>
  <si>
    <t>CS234R</t>
  </si>
  <si>
    <t>CS236R</t>
  </si>
  <si>
    <t>CS242</t>
  </si>
  <si>
    <t>CS244</t>
  </si>
  <si>
    <t>CS246</t>
  </si>
  <si>
    <t>DUS comments:</t>
  </si>
  <si>
    <t>CS247</t>
  </si>
  <si>
    <t>CS244R</t>
  </si>
  <si>
    <t>CS248</t>
  </si>
  <si>
    <t>Concentration spreadsheet v.0.94</t>
  </si>
  <si>
    <t>CS250</t>
  </si>
  <si>
    <t>CS247R</t>
  </si>
  <si>
    <t>CS260R</t>
  </si>
  <si>
    <t>CS252R</t>
  </si>
  <si>
    <t>CS284R</t>
  </si>
  <si>
    <t>CS261</t>
  </si>
  <si>
    <t>CS262</t>
  </si>
  <si>
    <t>CS263</t>
  </si>
  <si>
    <t>CS265</t>
  </si>
  <si>
    <t>CS277</t>
  </si>
  <si>
    <t>CS278</t>
  </si>
  <si>
    <t>CS279</t>
  </si>
  <si>
    <t>CS280R</t>
  </si>
  <si>
    <t>CS281</t>
  </si>
  <si>
    <t>CS282</t>
  </si>
  <si>
    <t>CS283</t>
  </si>
  <si>
    <t>CS284</t>
  </si>
  <si>
    <t>CS285</t>
  </si>
  <si>
    <t>CS287</t>
  </si>
  <si>
    <t>CS288</t>
  </si>
  <si>
    <t>CS289</t>
  </si>
  <si>
    <t>EC1034</t>
  </si>
  <si>
    <t>CS288R</t>
  </si>
  <si>
    <t>PHYS123</t>
  </si>
  <si>
    <t>ES153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</si>
</sst>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GENERAL"/>
    <numFmt numFmtId="167" formatCode="0.00"/>
  </numFmts>
  <fonts count="4">
    <font>
      <sz val="10"/>
      <name val="Arial"/>
      <family val="2"/>
    </font>
    <font>
      <sz val="10"/>
      <name val="Lucida Sans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20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0" fillId="5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3" borderId="0" xfId="0" applyFill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3" borderId="1" xfId="0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0" fillId="5" borderId="0" xfId="0" applyFont="1" applyFill="1" applyAlignment="1">
      <alignment/>
    </xf>
    <xf numFmtId="164" fontId="0" fillId="5" borderId="0" xfId="0" applyFill="1" applyAlignment="1">
      <alignment/>
    </xf>
    <xf numFmtId="164" fontId="0" fillId="3" borderId="2" xfId="0" applyFill="1" applyBorder="1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  <xf numFmtId="164" fontId="0" fillId="3" borderId="3" xfId="0" applyFill="1" applyBorder="1" applyAlignment="1">
      <alignment/>
    </xf>
    <xf numFmtId="167" fontId="0" fillId="0" borderId="0" xfId="0" applyNumberFormat="1" applyAlignment="1">
      <alignment/>
    </xf>
    <xf numFmtId="164" fontId="0" fillId="6" borderId="0" xfId="0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larm" xfId="20"/>
    <cellStyle name="Highlighted" xfId="21"/>
    <cellStyle name="Untitled1" xfId="22"/>
    <cellStyle name="Untitled2" xfId="23"/>
    <cellStyle name="Warning" xfId="24"/>
    <cellStyle name="Grade" xfId="25"/>
  </cellStyles>
  <dxfs count="4">
    <dxf>
      <fill>
        <patternFill patternType="solid">
          <fgColor rgb="FFCCCCFF"/>
          <bgColor rgb="FFCCCCCC"/>
        </patternFill>
      </fill>
      <border/>
    </dxf>
    <dxf>
      <fill>
        <patternFill patternType="solid">
          <fgColor rgb="FFFFFF00"/>
          <bgColor rgb="FFFFD320"/>
        </patternFill>
      </fill>
      <border/>
    </dxf>
    <dxf>
      <fill>
        <patternFill patternType="solid">
          <fgColor rgb="FFFF336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3366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C5" sqref="C5"/>
    </sheetView>
  </sheetViews>
  <sheetFormatPr defaultColWidth="12.57421875" defaultRowHeight="12.75"/>
  <cols>
    <col min="1" max="1" width="48.00390625" style="0" customWidth="1"/>
    <col min="2" max="2" width="6.7109375" style="0" customWidth="1"/>
    <col min="3" max="3" width="23.421875" style="0" customWidth="1"/>
    <col min="4" max="4" width="15.57421875" style="0" customWidth="1"/>
    <col min="5" max="7" width="11.57421875" style="0" customWidth="1"/>
    <col min="8" max="21" width="0" style="0" hidden="1" customWidth="1"/>
    <col min="22" max="16384" width="11.57421875" style="0" customWidth="1"/>
  </cols>
  <sheetData>
    <row r="1" spans="1:21" ht="12.75">
      <c r="A1" s="1" t="s">
        <v>0</v>
      </c>
      <c r="C1" s="2"/>
      <c r="K1" s="3" t="s">
        <v>1</v>
      </c>
      <c r="L1" t="s">
        <v>2</v>
      </c>
      <c r="M1" t="s">
        <v>3</v>
      </c>
      <c r="N1" t="s">
        <v>4</v>
      </c>
      <c r="U1" t="s">
        <v>5</v>
      </c>
    </row>
    <row r="2" spans="1:21" ht="12.75">
      <c r="A2" t="s">
        <v>6</v>
      </c>
      <c r="C2" s="2"/>
      <c r="K2" s="4" t="s">
        <v>7</v>
      </c>
      <c r="L2" s="4" t="s">
        <v>8</v>
      </c>
      <c r="M2" s="3"/>
      <c r="N2" s="3"/>
      <c r="U2" t="s">
        <v>9</v>
      </c>
    </row>
    <row r="3" spans="1:21" ht="12.75">
      <c r="A3" t="s">
        <v>10</v>
      </c>
      <c r="K3" s="4" t="s">
        <v>11</v>
      </c>
      <c r="L3" s="4" t="s">
        <v>12</v>
      </c>
      <c r="M3" s="4" t="s">
        <v>13</v>
      </c>
      <c r="N3" s="4" t="s">
        <v>13</v>
      </c>
      <c r="U3" t="s">
        <v>14</v>
      </c>
    </row>
    <row r="4" spans="1:21" ht="12.75">
      <c r="A4">
        <f>IF(COUNTIF(J9:J24,1)&gt;0,"Error! Duplicate Course!",IF(AND(COUNTIF(I9:I24,"CS125")&gt;0,OR(COUNTIF(I9:I24,"CS121")&gt;0,COUNTIF(I9:I24,"CS124")&gt;0)),"ERROR! Cannot take CS125 plus either CS121 or CS124",""))</f>
      </c>
      <c r="C4" s="5"/>
      <c r="K4" s="4" t="s">
        <v>15</v>
      </c>
      <c r="L4" s="4" t="s">
        <v>16</v>
      </c>
      <c r="M4" s="4" t="s">
        <v>17</v>
      </c>
      <c r="N4" s="4" t="s">
        <v>18</v>
      </c>
      <c r="U4" t="s">
        <v>19</v>
      </c>
    </row>
    <row r="5" spans="1:21" ht="12.75">
      <c r="A5" t="s">
        <v>20</v>
      </c>
      <c r="C5" s="6"/>
      <c r="K5" s="4" t="s">
        <v>21</v>
      </c>
      <c r="L5" s="4" t="s">
        <v>22</v>
      </c>
      <c r="M5" s="4" t="s">
        <v>23</v>
      </c>
      <c r="N5" s="3" t="s">
        <v>24</v>
      </c>
      <c r="U5" t="s">
        <v>25</v>
      </c>
    </row>
    <row r="6" spans="1:21" ht="12.75">
      <c r="A6">
        <f>IF(C5="Joint","With what other field?","")</f>
      </c>
      <c r="C6" s="7"/>
      <c r="K6" s="4" t="s">
        <v>26</v>
      </c>
      <c r="L6" s="4"/>
      <c r="M6" s="4" t="s">
        <v>24</v>
      </c>
      <c r="N6" s="3" t="s">
        <v>17</v>
      </c>
      <c r="U6" t="s">
        <v>27</v>
      </c>
    </row>
    <row r="7" spans="1:14" ht="12.75">
      <c r="A7">
        <f>IF(C5="Joint","Is CS Primary or Secondary? Choose from menu","")</f>
      </c>
      <c r="C7" s="8"/>
      <c r="K7" s="4"/>
      <c r="L7" s="4"/>
      <c r="M7" s="4"/>
      <c r="N7" s="3"/>
    </row>
    <row r="8" spans="1:14" ht="12.75">
      <c r="A8" s="9" t="s">
        <v>28</v>
      </c>
      <c r="B8" s="9" t="s">
        <v>29</v>
      </c>
      <c r="K8" s="4" t="s">
        <v>30</v>
      </c>
      <c r="L8" s="4" t="s">
        <v>31</v>
      </c>
      <c r="M8" s="4" t="s">
        <v>32</v>
      </c>
      <c r="N8" s="3"/>
    </row>
    <row r="9" spans="1:20" ht="12.75">
      <c r="A9" t="s">
        <v>33</v>
      </c>
      <c r="B9" s="10"/>
      <c r="C9" s="11"/>
      <c r="D9" s="12">
        <f>IF(C9="Other","  What course?","")</f>
      </c>
      <c r="I9">
        <f>IF(C9="Other",UPPER(SUBSTITUTE(E9," ","")),UPPER(SUBSTITUTE(C9," ","")))</f>
      </c>
      <c r="J9" s="13">
        <f>IF(AND(I9&lt;&gt;"",COUNTIF(I9:I24,I9)&gt;1,OR(RIGHT(I9)&lt;&gt;"R",I9="CS91R")),1,0)</f>
        <v>0</v>
      </c>
      <c r="K9" s="4" t="s">
        <v>34</v>
      </c>
      <c r="L9" s="4" t="s">
        <v>35</v>
      </c>
      <c r="M9" s="4" t="s">
        <v>36</v>
      </c>
      <c r="N9" s="3"/>
      <c r="S9" s="14">
        <f>IF(B9="A",4,IF(B9="A-",3.67,IF(B9="B+",3.33,IF(B9="B",3,IF(B9="B-",2.67,IF(B9="C+",2.33,IF(B9="C",2,IF(B9="C-",1.67,IF(B9="D+",1.33,IF(B9="D",1,IF(B9="D-",0.67,0)))))))))))</f>
        <v>0</v>
      </c>
      <c r="T9" s="14">
        <f>IF(AND(B9&lt;&gt;"",B9&lt;&gt;"SAT"),1,0)</f>
        <v>0</v>
      </c>
    </row>
    <row r="10" spans="1:20" ht="12.75">
      <c r="A10" t="s">
        <v>37</v>
      </c>
      <c r="B10" s="10"/>
      <c r="C10" s="15"/>
      <c r="D10" s="12">
        <f>IF(C10="Other","  What course?","")</f>
      </c>
      <c r="I10">
        <f>IF(C10="Other",UPPER(SUBSTITUTE(E10," ","")),UPPER(SUBSTITUTE(C10," ","")))</f>
      </c>
      <c r="J10" s="13">
        <f>IF(AND(I10&lt;&gt;"",COUNTIF(I9:I24,I10)&gt;1,OR(RIGHT(I10)&lt;&gt;"R",I10="CS91R")),1,0)</f>
        <v>0</v>
      </c>
      <c r="K10" s="4" t="s">
        <v>38</v>
      </c>
      <c r="L10" s="4" t="s">
        <v>39</v>
      </c>
      <c r="M10" s="4" t="s">
        <v>40</v>
      </c>
      <c r="N10" s="3"/>
      <c r="S10" s="14">
        <f>IF(B10="A",4,IF(B10="A-",3.67,IF(B10="B+",3.33,IF(B10="B",3,IF(B10="B-",2.67,IF(B10="C+",2.33,IF(B10="C",2,IF(B10="C-",1.67,IF(B10="D+",1.33,IF(B10="D",1,IF(B10="D-",0.67,0)))))))))))</f>
        <v>0</v>
      </c>
      <c r="T10" s="14">
        <f>IF(AND(B10&lt;&gt;"",B10&lt;&gt;"SAT"),1,0)</f>
        <v>0</v>
      </c>
    </row>
    <row r="11" spans="4:20" ht="12.75">
      <c r="D11" s="12">
        <f>IF(C11="Other","  What course?","")</f>
      </c>
      <c r="I11">
        <f>IF(C11="Other",UPPER(SUBSTITUTE(E11," ","")),UPPER(SUBSTITUTE(C11," ","")))</f>
      </c>
      <c r="J11" s="13">
        <f>IF(AND(I11&lt;&gt;"",COUNTIF(I9:I24,I11)&gt;1,OR(RIGHT(I11)&lt;&gt;"R",I11="CS91R")),1,0)</f>
        <v>0</v>
      </c>
      <c r="K11" s="4" t="s">
        <v>41</v>
      </c>
      <c r="L11" s="4" t="s">
        <v>42</v>
      </c>
      <c r="M11" s="4" t="s">
        <v>43</v>
      </c>
      <c r="N11" s="3"/>
      <c r="S11" s="14">
        <f>IF(B11="A",4,IF(B11="A-",3.67,IF(B11="B+",3.33,IF(B11="B",3,IF(B11="B-",2.67,IF(B11="C+",2.33,IF(B11="C",2,IF(B11="C-",1.67,IF(B11="D+",1.33,IF(B11="D",1,IF(B11="D-",0.67,0)))))))))))</f>
        <v>0</v>
      </c>
      <c r="T11" s="14">
        <f>IF(AND(B11&lt;&gt;"",B11&lt;&gt;"SAT"),1,0)</f>
        <v>0</v>
      </c>
    </row>
    <row r="12" spans="1:20" ht="12.75">
      <c r="A12" t="s">
        <v>44</v>
      </c>
      <c r="B12" s="10"/>
      <c r="C12" s="15"/>
      <c r="D12" s="12">
        <f>IF(C12="Other","  What course?","")</f>
      </c>
      <c r="I12">
        <f>IF(C12="Other",UPPER(SUBSTITUTE(E12," ","")),UPPER(SUBSTITUTE(C12," ","")))</f>
      </c>
      <c r="J12" s="13">
        <f>IF(AND(I12&lt;&gt;"",COUNTIF(I9:I24,I12)&gt;1,OR(RIGHT(I12)&lt;&gt;"R",I12="CS91R")),1,0)</f>
        <v>0</v>
      </c>
      <c r="K12" s="4" t="s">
        <v>45</v>
      </c>
      <c r="L12" s="4" t="s">
        <v>46</v>
      </c>
      <c r="M12" s="4" t="s">
        <v>47</v>
      </c>
      <c r="N12" s="3"/>
      <c r="S12" s="14">
        <f>IF(B12="A",4,IF(B12="A-",3.67,IF(B12="B+",3.33,IF(B12="B",3,IF(B12="B-",2.67,IF(B12="C+",2.33,IF(B12="C",2,IF(B12="C-",1.67,IF(B12="D+",1.33,IF(B12="D",1,IF(B12="D-",0.67,0)))))))))))</f>
        <v>0</v>
      </c>
      <c r="T12" s="14">
        <f>IF(AND(B12&lt;&gt;"",B12&lt;&gt;"SAT"),1,0)</f>
        <v>0</v>
      </c>
    </row>
    <row r="13" spans="1:20" ht="12.75">
      <c r="A13" t="s">
        <v>48</v>
      </c>
      <c r="B13" s="10"/>
      <c r="C13" s="15"/>
      <c r="D13" s="12">
        <f>IF(C13="Other","  What course?","")</f>
      </c>
      <c r="I13">
        <f>IF(C13="Other",UPPER(SUBSTITUTE(E13," ","")),UPPER(SUBSTITUTE(C13," ","")))</f>
      </c>
      <c r="J13" s="13">
        <f>IF(AND(I13&lt;&gt;"",COUNTIF(I9:I24,I13)&gt;1,OR(RIGHT(I13)&lt;&gt;"R",I13="CS91R")),1,0)</f>
        <v>0</v>
      </c>
      <c r="K13" s="4" t="s">
        <v>18</v>
      </c>
      <c r="L13" s="4" t="s">
        <v>49</v>
      </c>
      <c r="M13" s="4" t="s">
        <v>50</v>
      </c>
      <c r="N13" s="3"/>
      <c r="S13" s="14">
        <f>IF(B13="A",4,IF(B13="A-",3.67,IF(B13="B+",3.33,IF(B13="B",3,IF(B13="B-",2.67,IF(B13="C+",2.33,IF(B13="C",2,IF(B13="C-",1.67,IF(B13="D+",1.33,IF(B13="D",1,IF(B13="D-",0.67,0)))))))))))</f>
        <v>0</v>
      </c>
      <c r="T13" s="14">
        <f>IF(AND(B13&lt;&gt;"",B13&lt;&gt;"SAT"),1,0)</f>
        <v>0</v>
      </c>
    </row>
    <row r="14" spans="1:20" ht="12.75">
      <c r="A14">
        <f>IF(NOT(AND(OR(I12="CS50",I12="CS51",I12="CS61",I12="Other",I12=""),OR(I13="CS50",I13="CS51",I13="CS61",I13="Other",I13=""))),"Error! Invalid Software Course!","")</f>
      </c>
      <c r="D14" s="12">
        <f>IF(C14="Other","  What course?","")</f>
      </c>
      <c r="I14">
        <f>IF(C14="Other",UPPER(SUBSTITUTE(E14," ","")),UPPER(SUBSTITUTE(C14," ","")))</f>
      </c>
      <c r="J14" s="13">
        <f>IF(AND(I14&lt;&gt;"",COUNTIF(I9:I24,I14)&gt;1,OR(RIGHT(I14)&lt;&gt;"R",I14="CS91R")),1,0)</f>
        <v>0</v>
      </c>
      <c r="K14" s="4" t="s">
        <v>51</v>
      </c>
      <c r="L14" s="4" t="s">
        <v>52</v>
      </c>
      <c r="M14" s="4" t="s">
        <v>53</v>
      </c>
      <c r="N14" s="3"/>
      <c r="S14" s="14">
        <f>IF(B14="A",4,IF(B14="A-",3.67,IF(B14="B+",3.33,IF(B14="B",3,IF(B14="B-",2.67,IF(B14="C+",2.33,IF(B14="C",2,IF(B14="C-",1.67,IF(B14="D+",1.33,IF(B14="D",1,IF(B14="D-",0.67,0)))))))))))</f>
        <v>0</v>
      </c>
      <c r="T14" s="14">
        <f>IF(AND(B14&lt;&gt;"",B14&lt;&gt;"SAT"),1,0)</f>
        <v>0</v>
      </c>
    </row>
    <row r="15" spans="1:20" ht="12.75">
      <c r="A15" t="s">
        <v>54</v>
      </c>
      <c r="B15" s="10"/>
      <c r="C15" s="15"/>
      <c r="D15" s="12">
        <f>IF(C15="Other","  What course?","")</f>
      </c>
      <c r="I15">
        <f>IF(C15="Other",UPPER(SUBSTITUTE(E15," ","")),UPPER(SUBSTITUTE(C15," ","")))</f>
      </c>
      <c r="J15" s="13">
        <f>IF(AND(I15&lt;&gt;"",COUNTIF(I15:I24,I15)&gt;1,OR(RIGHT(I15)&lt;&gt;"R",I15="CS91R")),1,0)</f>
        <v>0</v>
      </c>
      <c r="K15" s="4" t="s">
        <v>55</v>
      </c>
      <c r="L15" s="4" t="s">
        <v>56</v>
      </c>
      <c r="M15" s="4" t="s">
        <v>57</v>
      </c>
      <c r="N15" s="3"/>
      <c r="S15" s="14">
        <f>IF(B15="A",4,IF(B15="A-",3.67,IF(B15="B+",3.33,IF(B15="B",3,IF(B15="B-",2.67,IF(B15="C+",2.33,IF(B15="C",2,IF(B15="C-",1.67,IF(B15="D+",1.33,IF(B15="D",1,IF(B15="D-",0.67,0)))))))))))</f>
        <v>0</v>
      </c>
      <c r="T15" s="14">
        <f>IF(AND(B15&lt;&gt;"",B15&lt;&gt;"SAT"),1,0)</f>
        <v>0</v>
      </c>
    </row>
    <row r="16" spans="1:20" ht="12.75">
      <c r="A16" t="s">
        <v>58</v>
      </c>
      <c r="B16" s="10"/>
      <c r="C16" s="2"/>
      <c r="D16" s="12">
        <f>IF(C16="Other","  What course?","")</f>
      </c>
      <c r="I16">
        <f>IF(C16="Other",UPPER(SUBSTITUTE(E16," ","")),UPPER(SUBSTITUTE(C16," ","")))</f>
      </c>
      <c r="J16" s="13">
        <f>IF(AND(I16&lt;&gt;"",COUNTIF(I9:I24,I16)&gt;1,OR(RIGHT(I16)&lt;&gt;"R",I16="CS91R")),1,0)</f>
        <v>0</v>
      </c>
      <c r="K16" s="4" t="s">
        <v>59</v>
      </c>
      <c r="L16" s="4" t="s">
        <v>60</v>
      </c>
      <c r="M16" s="4" t="s">
        <v>61</v>
      </c>
      <c r="N16" s="3"/>
      <c r="O16" t="b">
        <f>AND(OR(I15="",AND(C5="MBB",I15&lt;&gt;"",COUNTIF(N3:N52,I15)&gt;0),AND(C5&lt;&gt;"MBB",I15&lt;&gt;"",COUNTIF(M3:M102,I15)&gt;0)),OR(I16="",AND(C5="MBB",I16&lt;&gt;"",COUNTIF(N3:N52,I16)&gt;0),AND(C5&lt;&gt;"MBB",I16&lt;&gt;"",COUNTIF(M3:M102,I16)&gt;0)))</f>
        <v>1</v>
      </c>
      <c r="S16" s="14">
        <f>IF(B16="A",4,IF(B16="A-",3.67,IF(B16="B+",3.33,IF(B16="B",3,IF(B16="B-",2.67,IF(B16="C+",2.33,IF(B16="C",2,IF(B16="C-",1.67,IF(B16="D+",1.33,IF(B16="D",1,IF(B16="D-",0.67,0)))))))))))</f>
        <v>0</v>
      </c>
      <c r="T16" s="14">
        <f>IF(AND(B16&lt;&gt;"",B16&lt;&gt;"SAT"),1,0)</f>
        <v>0</v>
      </c>
    </row>
    <row r="17" spans="1:20" ht="12.75">
      <c r="A17">
        <f>IF(NOT(O16),"Not a valid theory course","")</f>
      </c>
      <c r="D17" s="12">
        <f>IF(C17="Other","  What course?","")</f>
      </c>
      <c r="I17">
        <f>IF(C17="Other",UPPER(SUBSTITUTE(E17," ","")),UPPER(SUBSTITUTE(C17," ","")))</f>
      </c>
      <c r="J17" s="13">
        <f>IF(AND(I17&lt;&gt;"",COUNTIF(I9:I24,I17)&gt;1,OR(RIGHT(I17)&lt;&gt;"R",I17="CS91R")),1,0)</f>
        <v>0</v>
      </c>
      <c r="K17" s="4" t="s">
        <v>8</v>
      </c>
      <c r="L17" s="4" t="s">
        <v>62</v>
      </c>
      <c r="M17" s="4" t="s">
        <v>63</v>
      </c>
      <c r="N17" s="3"/>
      <c r="S17" s="14">
        <f>IF(B17="A",4,IF(B17="A-",3.67,IF(B17="B+",3.33,IF(B17="B",3,IF(B17="B-",2.67,IF(B17="C+",2.33,IF(B17="C",2,IF(B17="C-",1.67,IF(B17="D+",1.33,IF(B17="D",1,IF(B17="D-",0.67,0)))))))))))</f>
        <v>0</v>
      </c>
      <c r="T17" s="14">
        <f>IF(AND(B17&lt;&gt;"",B17&lt;&gt;"SAT"),1,0)</f>
        <v>0</v>
      </c>
    </row>
    <row r="18" spans="1:20" ht="12.75">
      <c r="A18" t="s">
        <v>64</v>
      </c>
      <c r="B18" s="10"/>
      <c r="C18" s="2"/>
      <c r="D18" s="12">
        <f>IF(C18="Other","  What course?","")</f>
      </c>
      <c r="H18" s="12">
        <f>IF(OR(I18="PHYS123",I18="ES153"),"4",IF(I18="EC1034","3",LEFT(RIGHT(I18,IF(RIGHT(I18)="R",3,2)))))</f>
      </c>
      <c r="I18">
        <f>IF(C18="Other",UPPER(SUBSTITUTE(E18," ","")),UPPER(SUBSTITUTE(C18," ","")))</f>
      </c>
      <c r="J18" s="13">
        <f>IF(AND(I18&lt;&gt;"",COUNTIF(I9:I24,I18)&gt;1,OR(RIGHT(I18)&lt;&gt;"R",I18="CS91R")),1,0)</f>
        <v>0</v>
      </c>
      <c r="K18" s="4" t="s">
        <v>65</v>
      </c>
      <c r="L18" s="4" t="s">
        <v>66</v>
      </c>
      <c r="M18" s="4" t="s">
        <v>50</v>
      </c>
      <c r="R18" s="5" t="b">
        <f>AND(C5="Basic",OR(AND(I18&lt;&gt;"",COUNTIF(L3:L100,I18)=0),AND(I19&lt;&gt;"",COUNTIF(L3:L100,I19)=0),AND(I18&lt;&gt;"",I19&lt;&gt;"",H18=H19)))</f>
        <v>0</v>
      </c>
      <c r="S18" s="14">
        <f>IF(B18="A",4,IF(B18="A-",3.67,IF(B18="B+",3.33,IF(B18="B",3,IF(B18="B-",2.67,IF(B18="C+",2.33,IF(B18="C",2,IF(B18="C-",1.67,IF(B18="D+",1.33,IF(B18="D",1,IF(B18="D-",0.67,0)))))))))))</f>
        <v>0</v>
      </c>
      <c r="T18" s="14">
        <f>IF(AND(B18&lt;&gt;"",B18&lt;&gt;"SAT"),1,0)</f>
        <v>0</v>
      </c>
    </row>
    <row r="19" spans="1:20" ht="12.75">
      <c r="A19" t="s">
        <v>67</v>
      </c>
      <c r="B19" s="10"/>
      <c r="C19" s="2"/>
      <c r="D19" s="12">
        <f>IF(C19="Other","  What course?","")</f>
      </c>
      <c r="H19">
        <f>IF(OR(I19="PHYS123",I19="ES153"),"4",LEFT(RIGHT(I19,IF(RIGHT(I19)="R",3,2))))</f>
      </c>
      <c r="I19">
        <f>IF(C19="Other",UPPER(SUBSTITUTE(E19," ","")),UPPER(SUBSTITUTE(C19," ","")))</f>
      </c>
      <c r="J19" s="13">
        <f>IF(AND(I19&lt;&gt;"",COUNTIF(I9:I24,I19)&gt;1,OR(RIGHT(I19)&lt;&gt;"R",I19="CS91R")),1,0)</f>
        <v>0</v>
      </c>
      <c r="K19" s="4" t="s">
        <v>38</v>
      </c>
      <c r="L19" s="4" t="s">
        <v>68</v>
      </c>
      <c r="M19" s="4" t="s">
        <v>57</v>
      </c>
      <c r="R19" t="b">
        <f>AND(C5="Honors",OR(AND(I18&lt;&gt;"",COUNTIF(L3:L100,I18)=0),AND(I19&lt;&gt;"",COUNTIF(L3:L100,I19)=0),AND(I18&lt;&gt;"",I19&lt;&gt;"",H18=H19),AND(I20&lt;&gt;"",COUNTIF(L3:L100,I20)=0),AND(I20&lt;&gt;"",I18&lt;&gt;"",H18=H20),AND(I20&lt;&gt;"",I19&lt;&gt;"",H19=H20)))</f>
        <v>0</v>
      </c>
      <c r="S19" s="14">
        <f>IF(B19="A",4,IF(B19="A-",3.67,IF(B19="B+",3.33,IF(B19="B",3,IF(B19="B-",2.67,IF(B19="C+",2.33,IF(B19="C",2,IF(B19="C-",1.67,IF(B19="D+",1.33,IF(B19="D",1,IF(B19="D-",0.67,0)))))))))))</f>
        <v>0</v>
      </c>
      <c r="T19" s="14">
        <f>IF(AND(B19&lt;&gt;"",B19&lt;&gt;"SAT"),1,0)</f>
        <v>0</v>
      </c>
    </row>
    <row r="20" spans="1:20" ht="12.75">
      <c r="A20">
        <f>IF(OR(C5="Joint",C5="Honors"),"Breadth, third course",IF(C5="MBB","Enter MCB80, MCB81, or Other",""))</f>
      </c>
      <c r="D20" s="12">
        <f>IF(C20="Other","  What course?","")</f>
      </c>
      <c r="H20">
        <f>IF(OR(I20="PHYS123",I20="ES153"),4,LEFT(RIGHT(I20,IF(RIGHT(I20)="R",3,2))))</f>
      </c>
      <c r="I20">
        <f>IF(C20="Other",UPPER(SUBSTITUTE(E20," ","")),UPPER(SUBSTITUTE(C20," ","")))</f>
      </c>
      <c r="J20" s="13">
        <f>IF(AND(I20&lt;&gt;"",COUNTIF(I9:I24,I20)&gt;1,OR(RIGHT(I20)&lt;&gt;"R",I20="CS91R")),1,0)</f>
        <v>0</v>
      </c>
      <c r="K20" s="3" t="s">
        <v>69</v>
      </c>
      <c r="L20" s="4" t="s">
        <v>70</v>
      </c>
      <c r="M20" s="3"/>
      <c r="R20" s="5" t="b">
        <f>AND(C5="Joint",OR(AND(I18&lt;&gt;"",COUNTIF(L2:L100,I18)=0),AND(I19&lt;&gt;"",COUNTIF(L2:L100,I19)=0),AND(I18&lt;&gt;"",I19&lt;&gt;"",H18=H19),AND(I20&lt;&gt;"",COUNTIF(L2:L100,I20)=0),AND(I20&lt;&gt;"",I18&lt;&gt;"",H18=H20),AND(I20&lt;&gt;"",I19&lt;&gt;"",H19=H20)))</f>
        <v>0</v>
      </c>
      <c r="S20" s="14">
        <f>IF(B20="A",4,IF(B20="A-",3.67,IF(B20="B+",3.33,IF(B20="B",3,IF(B20="B-",2.67,IF(B20="C+",2.33,IF(B20="C",2,IF(B20="C-",1.67,IF(B20="D+",1.33,IF(B20="D",1,IF(B20="D-",0.67,0)))))))))))</f>
        <v>0</v>
      </c>
      <c r="T20" s="14">
        <f>IF(AND(B20&lt;&gt;"",B20&lt;&gt;"SAT"),1,0)</f>
        <v>0</v>
      </c>
    </row>
    <row r="21" spans="1:20" ht="12.75">
      <c r="A21">
        <f>IF(C5&lt;&gt;"",IF(OR(R18,R19,R20,R21),"Error! Does not satisfy breadth requirement!",IF(AND(C5="MBB",I20&lt;&gt;"",I20&lt;&gt;"MCB80",I20&lt;&gt;"MCB81",I20&lt;&gt;"Other"),"Error! Not MCB80, MCB81, or Other!","")),"")</f>
      </c>
      <c r="D21" s="12">
        <f>IF(C21="Other","  What course?","")</f>
      </c>
      <c r="H21" t="b">
        <f>OR(H18=H19,AND(H22,H18=H20),AND(H22,H19=H20))</f>
        <v>1</v>
      </c>
      <c r="I21">
        <f>IF(C21="Other",UPPER(SUBSTITUTE(E21," ","")),UPPER(SUBSTITUTE(C21," ","")))</f>
      </c>
      <c r="J21" s="13">
        <f>IF(AND(I21&lt;&gt;"",COUNTIF(I9:I24,I21)&gt;1,OR(RIGHT(I21)&lt;&gt;"R",I21="CS91R")),1,0)</f>
        <v>0</v>
      </c>
      <c r="K21" s="3"/>
      <c r="L21" s="4" t="s">
        <v>71</v>
      </c>
      <c r="M21" s="3"/>
      <c r="R21" t="b">
        <f>AND(C5="MBB",OR(AND(I18&lt;&gt;"",COUNTIF(L2:L100,I18)=0),AND(I19&lt;&gt;"",COUNTIF(L2:L100,I19)=0),AND(I18&lt;&gt;"",I19&lt;&gt;"",H18=H19)))</f>
        <v>0</v>
      </c>
      <c r="S21" s="14">
        <f>IF(B21="A",4,IF(B21="A-",3.67,IF(B21="B+",3.33,IF(B21="B",3,IF(B21="B-",2.67,IF(B21="C+",2.33,IF(B21="C",2,IF(B21="C-",1.67,IF(B21="D+",1.33,IF(B21="D",1,IF(B21="D-",0.67,0)))))))))))</f>
        <v>0</v>
      </c>
      <c r="T21" s="14">
        <f>IF(AND(B21&lt;&gt;"",B21&lt;&gt;"SAT"),1,0)</f>
        <v>0</v>
      </c>
    </row>
    <row r="22" spans="1:20" ht="12.75">
      <c r="A22" t="str">
        <f>IF(C5="MBB","Enter an approved biology or psychology course",IF(C5="Joint","",IF(R22,"Elective","INVALID ELECTIVE")))</f>
        <v>Elective</v>
      </c>
      <c r="D22" s="12">
        <f>IF(C22="Other","  What course?","")</f>
      </c>
      <c r="H22" t="b">
        <f>OR(C5="Honors",C5="Joint")</f>
        <v>0</v>
      </c>
      <c r="I22">
        <f>IF(C22="Other",UPPER(SUBSTITUTE(E22," ","")),UPPER(SUBSTITUTE(C22," ","")))</f>
      </c>
      <c r="J22" s="13">
        <f>IF(AND(I22&lt;&gt;"",COUNTIF(I9:I24,I22)&gt;1,OR(RIGHT(I22)&lt;&gt;"R",I22="CS91R")),1,0)</f>
        <v>0</v>
      </c>
      <c r="K22" s="3"/>
      <c r="L22" s="4" t="s">
        <v>72</v>
      </c>
      <c r="M22" s="3"/>
      <c r="P22" t="b">
        <f>OR(I22="",COUNTIF(K3:K100,I22)&gt;0,COUNTIF(L2:L100,I22)&gt;0,COUNTIF(M3:M100,I22)&gt;0)</f>
        <v>1</v>
      </c>
      <c r="Q22" t="b">
        <f>OR(I22="",COUNTIF(K2:K100,I22)&gt;0,COUNTIF(L2:L100,I22)&gt;0,COUNTIF(M3:M100,I22)&gt;0)</f>
        <v>1</v>
      </c>
      <c r="R22" s="14">
        <f>IF(C5="Basic",P22,IF(C5="Honors",Q22,1))</f>
        <v>1</v>
      </c>
      <c r="S22" s="14">
        <f>IF(B22="A",4,IF(B22="A-",3.67,IF(B22="B+",3.33,IF(B22="B",3,IF(B22="B-",2.67,IF(B22="C+",2.33,IF(B22="C",2,IF(B22="C-",1.67,IF(B22="D+",1.33,IF(B22="D",1,IF(B22="D-",0.67,0)))))))))))</f>
        <v>0</v>
      </c>
      <c r="T22" s="14">
        <f>IF(AND(B22&lt;&gt;"",B22&lt;&gt;"SAT"),1,0)</f>
        <v>0</v>
      </c>
    </row>
    <row r="23" spans="1:20" ht="12.75">
      <c r="A23" s="5" t="str">
        <f>IF(C5="MBB","Enter an approved MBB Junior Tutorial",IF(C5="Joint","",IF(R23,"Elective","INVALID ELECTIVE")))</f>
        <v>Elective</v>
      </c>
      <c r="D23" s="12">
        <f>IF(C23="Other","  What course?","")</f>
      </c>
      <c r="I23">
        <f>IF(C23="Other",UPPER(SUBSTITUTE(E23," ","")),UPPER(SUBSTITUTE(C23," ","")))</f>
      </c>
      <c r="J23" s="13">
        <f>IF(AND(I23&lt;&gt;"",COUNTIF(I9:I24,I23)&gt;1,OR(RIGHT(I23)&lt;&gt;"R",I23="CS91R")),1,0)</f>
        <v>0</v>
      </c>
      <c r="K23" s="3"/>
      <c r="L23" s="4" t="s">
        <v>73</v>
      </c>
      <c r="M23" s="3"/>
      <c r="P23" t="b">
        <f>OR(I23="",COUNTIF(K3:K100,I23)&gt;0,COUNTIF(L2:L100,I23)&gt;0,COUNTIF(M3:M100,I23)&gt;0)</f>
        <v>1</v>
      </c>
      <c r="Q23" t="b">
        <f>OR(I23="",COUNTIF(K2:K100,I23)&gt;0,COUNTIF(L2:L100,I23)&gt;0,COUNTIF(M3:M100,I23)&gt;0)</f>
        <v>1</v>
      </c>
      <c r="R23" s="14">
        <f>IF(C5="Basic",P23,IF(C5="Honors",Q23,1))</f>
        <v>1</v>
      </c>
      <c r="S23" s="14">
        <f>IF(B23="A",4,IF(B23="A-",3.67,IF(B23="B+",3.33,IF(B23="B",3,IF(B23="B-",2.67,IF(B23="C+",2.33,IF(B23="C",2,IF(B23="C-",1.67,IF(B23="D+",1.33,IF(B23="D",1,IF(B23="D-",0.67,0)))))))))))</f>
        <v>0</v>
      </c>
      <c r="T23" s="14">
        <f>IF(AND(B23&lt;&gt;"",B23&lt;&gt;"SAT"),1,0)</f>
        <v>0</v>
      </c>
    </row>
    <row r="24" spans="1:20" ht="12.75">
      <c r="A24">
        <f>IF(C5="Honors",IF(R24,"Elective","INVALID ELECTIVE"),IF(C5="MBB","Enter CS181 or CS182, or Other",""))</f>
      </c>
      <c r="D24" s="12">
        <f>IF(C24="Other","  What course?","")</f>
      </c>
      <c r="H24" t="b">
        <f>OR(C18="",COUNTIF(L3:L100,C18)&gt;0)</f>
        <v>1</v>
      </c>
      <c r="I24">
        <f>IF(C24="Other",UPPER(SUBSTITUTE(E24," ","")),UPPER(SUBSTITUTE(C24," ","")))</f>
      </c>
      <c r="J24" s="13">
        <f>IF(AND(I24&lt;&gt;"",COUNTIF(I9:I24,I24)&gt;1,OR(RIGHT(I24)&lt;&gt;"R",I24="CS91R")),1,0)</f>
        <v>0</v>
      </c>
      <c r="K24" s="3"/>
      <c r="L24" s="4" t="s">
        <v>74</v>
      </c>
      <c r="M24" s="3"/>
      <c r="Q24" t="b">
        <f>OR(I24="",COUNTIF(K2:K100,I24)&gt;0,COUNTIF(L2:L100,I24)&gt;0,COUNTIF(M3:M100,I24)&gt;0)</f>
        <v>1</v>
      </c>
      <c r="R24" s="14">
        <f>IF(C5="Honors",Q24,1)</f>
        <v>1</v>
      </c>
      <c r="S24" s="14">
        <f>IF(B24="A",4,IF(B24="A-",3.67,IF(B24="B+",3.33,IF(B24="B",3,IF(B24="B-",2.67,IF(B24="C+",2.33,IF(B24="C",2,IF(B24="C-",1.67,IF(B24="D+",1.33,IF(B24="D",1,IF(B24="D-",0.67,0)))))))))))</f>
        <v>0</v>
      </c>
      <c r="T24" s="14">
        <f>IF(AND(B24&lt;&gt;"",B24&lt;&gt;"SAT"),1,0)</f>
        <v>0</v>
      </c>
    </row>
    <row r="25" spans="1:17" ht="12.75">
      <c r="A25">
        <f>IF(B25&lt;&gt;"","Concentration GPA:","")</f>
      </c>
      <c r="B25" s="16">
        <f>IF(SUM(T9:T25)&gt;0,SUM(S9:S25)/SUM(T9:T25),"")</f>
      </c>
      <c r="H25" t="b">
        <f>OR(C19="",COUNTIF(L3:L101,C19)&gt;0)</f>
        <v>1</v>
      </c>
      <c r="I25">
        <f>UPPER(SUBSTITUTE(C25," ",""))</f>
      </c>
      <c r="K25" s="3"/>
      <c r="L25" s="4" t="s">
        <v>75</v>
      </c>
      <c r="M25" s="3"/>
      <c r="P25" t="b">
        <f>AND(P22,P23)</f>
        <v>1</v>
      </c>
      <c r="Q25" t="b">
        <f>AND(Q22,Q23,Q24)</f>
        <v>1</v>
      </c>
    </row>
    <row r="26" spans="1:13" ht="12.75">
      <c r="A26" t="s">
        <v>76</v>
      </c>
      <c r="H26" t="b">
        <f>OR(C20="",COUNTIF(L3:L102,C20)&gt;0)</f>
        <v>1</v>
      </c>
      <c r="I26">
        <f>UPPER(SUBSTITUTE(C26," ",""))</f>
      </c>
      <c r="J26" t="b">
        <f>SUM(J9:J24)&gt;0</f>
        <v>0</v>
      </c>
      <c r="K26" s="3"/>
      <c r="L26" s="4" t="s">
        <v>77</v>
      </c>
      <c r="M26" s="3"/>
    </row>
    <row r="27" spans="1:19" ht="12.75">
      <c r="A27" s="2"/>
      <c r="C27" s="2"/>
      <c r="K27" s="3"/>
      <c r="L27" s="4" t="s">
        <v>78</v>
      </c>
      <c r="M27" s="3"/>
      <c r="S27" s="5">
        <f>IF(SUM(T9:T25)&gt;0,SUM(S9:S25)/SUM(T9:T25),"")</f>
      </c>
    </row>
    <row r="28" spans="1:13" ht="12.75">
      <c r="A28" s="2"/>
      <c r="C28" s="2"/>
      <c r="H28" t="b">
        <f>OR(C18="",COUNTIF(L2:L100,C18)&gt;0)</f>
        <v>1</v>
      </c>
      <c r="K28" s="3"/>
      <c r="L28" s="4" t="s">
        <v>79</v>
      </c>
      <c r="M28" s="3"/>
    </row>
    <row r="29" spans="1:13" ht="12.75">
      <c r="A29" s="2"/>
      <c r="C29" s="2"/>
      <c r="H29" t="b">
        <f>OR(C19="",COUNTIF(L2:L101,C19)&gt;0)</f>
        <v>1</v>
      </c>
      <c r="K29" s="3"/>
      <c r="L29" s="4" t="s">
        <v>80</v>
      </c>
      <c r="M29" s="3"/>
    </row>
    <row r="30" spans="8:13" ht="12.75">
      <c r="H30" t="b">
        <f>OR(C20="",COUNTIF(L2:L102,C20)&gt;0)</f>
        <v>1</v>
      </c>
      <c r="K30" s="3"/>
      <c r="L30" s="4" t="s">
        <v>81</v>
      </c>
      <c r="M30" s="3"/>
    </row>
    <row r="31" spans="1:13" ht="12.75">
      <c r="A31" t="s">
        <v>82</v>
      </c>
      <c r="K31" s="3"/>
      <c r="L31" s="4" t="s">
        <v>83</v>
      </c>
      <c r="M31" s="3"/>
    </row>
    <row r="32" spans="1:13" ht="12.75">
      <c r="A32" s="17"/>
      <c r="C32" s="17"/>
      <c r="H32" t="b">
        <f>OR(H18="",H19="",H18&lt;&gt;H19)</f>
        <v>1</v>
      </c>
      <c r="K32" s="3"/>
      <c r="L32" s="4" t="s">
        <v>42</v>
      </c>
      <c r="M32" s="3"/>
    </row>
    <row r="33" spans="1:13" ht="12.75">
      <c r="A33" s="17"/>
      <c r="C33" s="17"/>
      <c r="H33" t="b">
        <f>OR(H20="",AND(H32,H18&lt;&gt;H20,H19&lt;&gt;H20))</f>
        <v>1</v>
      </c>
      <c r="K33" s="3"/>
      <c r="L33" s="4" t="s">
        <v>78</v>
      </c>
      <c r="M33" s="3"/>
    </row>
    <row r="34" spans="1:13" ht="12.75">
      <c r="A34" s="17"/>
      <c r="C34" s="17"/>
      <c r="K34" s="3"/>
      <c r="L34" s="4" t="s">
        <v>84</v>
      </c>
      <c r="M34" s="3"/>
    </row>
    <row r="35" spans="11:13" ht="12.75">
      <c r="K35" s="3"/>
      <c r="L35" s="4" t="s">
        <v>85</v>
      </c>
      <c r="M35" s="3"/>
    </row>
    <row r="36" spans="1:13" ht="12.75">
      <c r="A36" t="s">
        <v>86</v>
      </c>
      <c r="K36" s="3"/>
      <c r="L36" s="4" t="s">
        <v>87</v>
      </c>
      <c r="M36" s="3"/>
    </row>
    <row r="37" spans="11:13" ht="12.75">
      <c r="K37" s="3"/>
      <c r="L37" s="4" t="s">
        <v>88</v>
      </c>
      <c r="M37" s="3"/>
    </row>
    <row r="38" spans="11:13" ht="12.75">
      <c r="K38" s="3"/>
      <c r="L38" s="4" t="s">
        <v>89</v>
      </c>
      <c r="M38" s="3"/>
    </row>
    <row r="39" spans="11:13" ht="12.75">
      <c r="K39" s="3"/>
      <c r="L39" s="4" t="s">
        <v>90</v>
      </c>
      <c r="M39" s="3"/>
    </row>
    <row r="40" spans="11:13" ht="12.75">
      <c r="K40" s="3"/>
      <c r="L40" s="4" t="s">
        <v>91</v>
      </c>
      <c r="M40" s="3"/>
    </row>
    <row r="41" spans="11:13" ht="12.75">
      <c r="K41" s="3"/>
      <c r="L41" s="4" t="s">
        <v>89</v>
      </c>
      <c r="M41" s="3"/>
    </row>
    <row r="42" spans="11:13" ht="12.75">
      <c r="K42" s="3"/>
      <c r="L42" s="4" t="s">
        <v>92</v>
      </c>
      <c r="M42" s="3"/>
    </row>
    <row r="43" spans="11:13" ht="12.75">
      <c r="K43" s="3"/>
      <c r="L43" s="4" t="s">
        <v>93</v>
      </c>
      <c r="M43" s="3"/>
    </row>
    <row r="44" spans="11:13" ht="12.75">
      <c r="K44" s="3"/>
      <c r="L44" s="4" t="s">
        <v>94</v>
      </c>
      <c r="M44" s="3"/>
    </row>
    <row r="45" spans="11:13" ht="12.75">
      <c r="K45" s="3"/>
      <c r="L45" s="4" t="s">
        <v>95</v>
      </c>
      <c r="M45" s="3"/>
    </row>
    <row r="46" spans="11:13" ht="12.75">
      <c r="K46" s="3"/>
      <c r="L46" s="4" t="s">
        <v>96</v>
      </c>
      <c r="M46" s="3"/>
    </row>
    <row r="47" spans="11:13" ht="12.75">
      <c r="K47" s="3"/>
      <c r="L47" s="4" t="s">
        <v>97</v>
      </c>
      <c r="M47" s="3"/>
    </row>
    <row r="48" spans="11:12" ht="12.75">
      <c r="K48" s="3"/>
      <c r="L48" s="4" t="s">
        <v>98</v>
      </c>
    </row>
    <row r="49" spans="11:12" ht="12.75">
      <c r="K49" s="3"/>
      <c r="L49" s="4" t="s">
        <v>99</v>
      </c>
    </row>
    <row r="50" spans="11:12" ht="12.75">
      <c r="K50" s="3"/>
      <c r="L50" s="4" t="s">
        <v>100</v>
      </c>
    </row>
    <row r="51" spans="11:12" ht="12.75">
      <c r="K51" s="3"/>
      <c r="L51" s="4" t="s">
        <v>101</v>
      </c>
    </row>
    <row r="52" spans="11:12" ht="12.75">
      <c r="K52" s="3"/>
      <c r="L52" s="4" t="s">
        <v>102</v>
      </c>
    </row>
    <row r="53" spans="11:12" ht="12.75">
      <c r="K53" s="3"/>
      <c r="L53" s="4" t="s">
        <v>103</v>
      </c>
    </row>
    <row r="54" spans="11:12" ht="12.75">
      <c r="K54" s="3"/>
      <c r="L54" s="4" t="s">
        <v>104</v>
      </c>
    </row>
    <row r="55" spans="11:12" ht="12.75">
      <c r="K55" s="3"/>
      <c r="L55" s="4" t="s">
        <v>105</v>
      </c>
    </row>
    <row r="56" spans="11:12" ht="12.75">
      <c r="K56" s="3"/>
      <c r="L56" s="4" t="s">
        <v>106</v>
      </c>
    </row>
    <row r="57" spans="11:12" ht="12.75">
      <c r="K57" s="3"/>
      <c r="L57" s="4" t="s">
        <v>107</v>
      </c>
    </row>
    <row r="58" spans="11:12" ht="12.75">
      <c r="K58" s="3"/>
      <c r="L58" s="4" t="s">
        <v>108</v>
      </c>
    </row>
    <row r="59" spans="11:12" ht="12.75">
      <c r="K59" s="3"/>
      <c r="L59" s="4" t="s">
        <v>109</v>
      </c>
    </row>
    <row r="60" spans="11:12" ht="12.75">
      <c r="K60" s="3"/>
      <c r="L60" s="4" t="s">
        <v>110</v>
      </c>
    </row>
    <row r="61" spans="11:12" ht="12.75">
      <c r="K61" s="3"/>
      <c r="L61" s="4" t="s">
        <v>111</v>
      </c>
    </row>
  </sheetData>
  <sheetProtection selectLockedCells="1" selectUnlockedCells="1"/>
  <conditionalFormatting sqref="B22:B23">
    <cfRule type="expression" priority="1" dxfId="0" stopIfTrue="1">
      <formula>Sheet1!$C$5&lt;&gt;"Joint"</formula>
    </cfRule>
  </conditionalFormatting>
  <conditionalFormatting sqref="B24">
    <cfRule type="expression" priority="2" dxfId="0" stopIfTrue="1">
      <formula>OR(Sheet1!$C$5="Honors",Sheet1!$C$5="MBB")</formula>
    </cfRule>
  </conditionalFormatting>
  <conditionalFormatting sqref="B25">
    <cfRule type="cellIs" priority="3" dxfId="0" operator="notEqual" stopIfTrue="1">
      <formula>""</formula>
    </cfRule>
  </conditionalFormatting>
  <conditionalFormatting sqref="C6">
    <cfRule type="expression" priority="4" dxfId="1" stopIfTrue="1">
      <formula>C5="Joint"</formula>
    </cfRule>
  </conditionalFormatting>
  <conditionalFormatting sqref="C7">
    <cfRule type="expression" priority="5" dxfId="1" stopIfTrue="1">
      <formula>C5="Joint"</formula>
    </cfRule>
  </conditionalFormatting>
  <conditionalFormatting sqref="C20">
    <cfRule type="expression" priority="6" dxfId="1" stopIfTrue="1">
      <formula>AND(Sheet1!$C$5&lt;&gt;"",Sheet1!$C$5&lt;&gt;"Basic")</formula>
    </cfRule>
  </conditionalFormatting>
  <conditionalFormatting sqref="A4 A14 A17 A21">
    <cfRule type="cellIs" priority="7" dxfId="2" operator="notEqual" stopIfTrue="1">
      <formula>""</formula>
    </cfRule>
  </conditionalFormatting>
  <conditionalFormatting sqref="C22">
    <cfRule type="expression" priority="8" dxfId="1" stopIfTrue="1">
      <formula>Sheet1!$C$5&lt;&gt;"Joint"</formula>
    </cfRule>
  </conditionalFormatting>
  <conditionalFormatting sqref="C23">
    <cfRule type="expression" priority="9" dxfId="1" stopIfTrue="1">
      <formula>Sheet1!$C$5&lt;&gt;"Joint"</formula>
    </cfRule>
  </conditionalFormatting>
  <conditionalFormatting sqref="C24">
    <cfRule type="expression" priority="10" dxfId="1" stopIfTrue="1">
      <formula>OR(Sheet1!$C$5="Honors",Sheet1!$C$5="MBB")</formula>
    </cfRule>
  </conditionalFormatting>
  <conditionalFormatting sqref="E9">
    <cfRule type="expression" priority="11" dxfId="1" stopIfTrue="1">
      <formula>Sheet1!$C$9="Other"</formula>
    </cfRule>
  </conditionalFormatting>
  <conditionalFormatting sqref="E10">
    <cfRule type="expression" priority="12" dxfId="1" stopIfTrue="1">
      <formula>Sheet1!$C$10="Other"</formula>
    </cfRule>
  </conditionalFormatting>
  <conditionalFormatting sqref="E12">
    <cfRule type="expression" priority="13" dxfId="1" stopIfTrue="1">
      <formula>Sheet1!$C$12="Other"</formula>
    </cfRule>
  </conditionalFormatting>
  <conditionalFormatting sqref="E13">
    <cfRule type="expression" priority="14" dxfId="1" stopIfTrue="1">
      <formula>Sheet1!$C$13="Other"</formula>
    </cfRule>
  </conditionalFormatting>
  <conditionalFormatting sqref="E15">
    <cfRule type="expression" priority="15" dxfId="1" stopIfTrue="1">
      <formula>Sheet1!$C$15="Other"</formula>
    </cfRule>
  </conditionalFormatting>
  <conditionalFormatting sqref="E16">
    <cfRule type="expression" priority="16" dxfId="1" stopIfTrue="1">
      <formula>C16="Other"</formula>
    </cfRule>
  </conditionalFormatting>
  <conditionalFormatting sqref="A22:A24">
    <cfRule type="cellIs" priority="17" dxfId="3" operator="equal" stopIfTrue="1">
      <formula>"INVALID ELECTIVE"</formula>
    </cfRule>
  </conditionalFormatting>
  <conditionalFormatting sqref="A25">
    <cfRule type="expression" priority="18" dxfId="0" stopIfTrue="1">
      <formula>Sheet1!$B$25&lt;&gt;""</formula>
    </cfRule>
  </conditionalFormatting>
  <conditionalFormatting sqref="B20">
    <cfRule type="expression" priority="19" dxfId="0" stopIfTrue="1">
      <formula>AND(Sheet1!$C$5&lt;&gt;"",Sheet1!$C$5&lt;&gt;"Basic")</formula>
    </cfRule>
  </conditionalFormatting>
  <dataValidations count="15">
    <dataValidation type="list" operator="equal" allowBlank="1" showErrorMessage="1" sqref="C5">
      <formula1>"Basic,Honors,Joint,MBB"</formula1>
    </dataValidation>
    <dataValidation operator="equal" allowBlank="1" showErrorMessage="1" sqref="C6">
      <formula1>0</formula1>
    </dataValidation>
    <dataValidation type="list" operator="equal" allowBlank="1" showErrorMessage="1" sqref="C7">
      <formula1>"Primary,Secondary,"</formula1>
    </dataValidation>
    <dataValidation type="list" operator="equal" allowBlank="1" showErrorMessage="1" sqref="B9:B10">
      <formula1>"A,A-,B+,B,B-,C+,C,C-,D+,D,D-,SAT,"</formula1>
    </dataValidation>
    <dataValidation type="list" operator="equal" allowBlank="1" showErrorMessage="1" sqref="C9">
      <formula1>"Math 21a,AM 21a,Math 23b,Math 25b,Math 55b,Math 1a + 1b + CS20,Other"</formula1>
    </dataValidation>
    <dataValidation type="list" operator="equal" allowBlank="1" showErrorMessage="1" sqref="C10">
      <formula1>"Math 21b,AM 21b,Math 23a,Math 25a,Math 55a,Other"</formula1>
    </dataValidation>
    <dataValidation type="list" operator="equal" allowBlank="1" sqref="B12:B13">
      <formula1>"A,A-,B+,B,B-,C+,C,C-,D+,D,D-,SAT,"</formula1>
    </dataValidation>
    <dataValidation type="list" operator="equal" allowBlank="1" showErrorMessage="1" sqref="C12">
      <formula1>"CS50,CS51,CS61,Other"</formula1>
    </dataValidation>
    <dataValidation type="list" operator="equal" allowBlank="1" showErrorMessage="1" sqref="C13">
      <formula1>"CS50,CS51,CS61,Other"</formula1>
    </dataValidation>
    <dataValidation type="list" operator="equal" allowBlank="1" sqref="B15:B16">
      <formula1>"A,A-,B+,B,B-,C+,C,C-,D+,D,D-,SAT,"</formula1>
    </dataValidation>
    <dataValidation type="list" operator="equal" allowBlank="1" showErrorMessage="1" sqref="C15">
      <formula1>"CS121,CS125,Other"</formula1>
    </dataValidation>
    <dataValidation type="list" operator="equal" allowBlank="1" sqref="B18:B19">
      <formula1>"A,A-,B+,B,B-,C+,C,C-,D+,D,D-,SAT,"</formula1>
    </dataValidation>
    <dataValidation type="list" operator="equal" allowBlank="1" sqref="B20">
      <formula1>"A,A-,B+,B,B-,C+,C,C-,D+,D,D-,SAT,"</formula1>
    </dataValidation>
    <dataValidation type="list" operator="equal" allowBlank="1" sqref="B22:B23">
      <formula1>"A,A-,B+,B,B-,C+,C,C-,D+,D,D-,SAT,"</formula1>
    </dataValidation>
    <dataValidation type="list" operator="equal" allowBlank="1" sqref="B24">
      <formula1>"A,A-,B+,B,B-,C+,C,C-,D+,D,D-,SAT,"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Lewis</dc:creator>
  <cp:keywords/>
  <dc:description/>
  <cp:lastModifiedBy>Harry Lewis</cp:lastModifiedBy>
  <dcterms:created xsi:type="dcterms:W3CDTF">2016-02-02T17:13:07Z</dcterms:created>
  <dcterms:modified xsi:type="dcterms:W3CDTF">2016-04-13T22:16:57Z</dcterms:modified>
  <cp:category/>
  <cp:version/>
  <cp:contentType/>
  <cp:contentStatus/>
  <cp:revision>128</cp:revision>
</cp:coreProperties>
</file>